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Données mensuelles A" sheetId="1" r:id="rId1"/>
    <sheet name="Bilan" sheetId="2" r:id="rId2"/>
    <sheet name="Ratios M9.6 " sheetId="3" r:id="rId3"/>
    <sheet name="exercice mois par mois" sheetId="4" r:id="rId4"/>
  </sheets>
  <definedNames>
    <definedName name="_xlnm.Print_Area" localSheetId="3">'exercice mois par mois'!$A$1:$C$74</definedName>
  </definedNames>
  <calcPr fullCalcOnLoad="1"/>
</workbook>
</file>

<file path=xl/sharedStrings.xml><?xml version="1.0" encoding="utf-8"?>
<sst xmlns="http://schemas.openxmlformats.org/spreadsheetml/2006/main" count="119" uniqueCount="111">
  <si>
    <t>Classe / comptes</t>
  </si>
  <si>
    <t>Crédit classe 1</t>
  </si>
  <si>
    <t xml:space="preserve">Débit classe 1 </t>
  </si>
  <si>
    <t>Débit classe 2</t>
  </si>
  <si>
    <t>Crédit classe 2</t>
  </si>
  <si>
    <t>Débit classe 3</t>
  </si>
  <si>
    <t>Débit classe 4</t>
  </si>
  <si>
    <t>Crédit classe 4</t>
  </si>
  <si>
    <t>Débit classe 6</t>
  </si>
  <si>
    <t>Crédit classe 6</t>
  </si>
  <si>
    <t>Débit classe 7</t>
  </si>
  <si>
    <t>Crédit 49</t>
  </si>
  <si>
    <t>Crédit 59</t>
  </si>
  <si>
    <t>Crédit 39</t>
  </si>
  <si>
    <t>Compte 500</t>
  </si>
  <si>
    <t>FdR</t>
  </si>
  <si>
    <t>BFdR</t>
  </si>
  <si>
    <t>Trésorerie</t>
  </si>
  <si>
    <t>compte 68</t>
  </si>
  <si>
    <t>compte 675</t>
  </si>
  <si>
    <t>compte 776</t>
  </si>
  <si>
    <t>compte 777</t>
  </si>
  <si>
    <t>compte 775</t>
  </si>
  <si>
    <t>compte 78</t>
  </si>
  <si>
    <t>crédit classe 7</t>
  </si>
  <si>
    <t>Résultat</t>
  </si>
  <si>
    <t>CAF</t>
  </si>
  <si>
    <t>Autonomie financière</t>
  </si>
  <si>
    <t>Charges nettes de fonctionnement
comptes 60 à 65</t>
  </si>
  <si>
    <t>jours de FdR</t>
  </si>
  <si>
    <t>Variation FdR</t>
  </si>
  <si>
    <t>V° FdR</t>
  </si>
  <si>
    <t xml:space="preserve">jours de Trésorerie </t>
  </si>
  <si>
    <t>Fichier exercice</t>
  </si>
  <si>
    <t xml:space="preserve">dotation de fonctionnement  100 000 </t>
  </si>
  <si>
    <t>versement CT 25% fin février, fin mai, fin juillet, fin novembre</t>
  </si>
  <si>
    <t>OR émis</t>
  </si>
  <si>
    <t>fin janvier</t>
  </si>
  <si>
    <t>fin novembre</t>
  </si>
  <si>
    <t>Charges de fonctionnement 100 000</t>
  </si>
  <si>
    <t>LYCEE A</t>
  </si>
  <si>
    <t>LYCEE B</t>
  </si>
  <si>
    <t>janvier 13% A et B</t>
  </si>
  <si>
    <t>février 13% A et B</t>
  </si>
  <si>
    <t>mars 9% A et 13% B</t>
  </si>
  <si>
    <t>avril 8% A et 0 B (vacances)</t>
  </si>
  <si>
    <t>mai 7% (A) et 10 % (B)</t>
  </si>
  <si>
    <t>juin 7% A et B</t>
  </si>
  <si>
    <t xml:space="preserve">juillet 4% A et 10% B </t>
  </si>
  <si>
    <t>août 3% A et 0 B</t>
  </si>
  <si>
    <t>septembre 5% A et 4% B</t>
  </si>
  <si>
    <t>octobre 7% A et 10% B</t>
  </si>
  <si>
    <t>novembre 10% A et 5% B (vacances)</t>
  </si>
  <si>
    <t>décembre 14% A et 17% B</t>
  </si>
  <si>
    <t>Produits scolaires année 200 000</t>
  </si>
  <si>
    <t>répartition année 35% Janvier mars, 25% avril juillet, 40% septembre décembre</t>
  </si>
  <si>
    <t>Trimestre 1 / 70 000</t>
  </si>
  <si>
    <t>fin mars</t>
  </si>
  <si>
    <t>Trimestre 2 / 50 000</t>
  </si>
  <si>
    <t>fin avril</t>
  </si>
  <si>
    <t>fin juin</t>
  </si>
  <si>
    <t>Trimestre 3 / 80 000</t>
  </si>
  <si>
    <t>fin octobre</t>
  </si>
  <si>
    <t>fin décembre</t>
  </si>
  <si>
    <t>Charges de fonctionnement restauration</t>
  </si>
  <si>
    <t xml:space="preserve">janvier 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</si>
  <si>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</si>
  <si>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</si>
  <si>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</si>
  <si>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</si>
  <si>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</si>
  <si>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</si>
  <si>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</si>
  <si>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</si>
  <si>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</si>
  <si>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</si>
  <si>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</si>
  <si>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marge = 2% entre dépenses et recettes restauration</t>
  </si>
  <si>
    <t>Recouvrement taux non recouvrement 5% commun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</si>
  <si>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</si>
  <si>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</si>
  <si>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</si>
  <si>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</si>
  <si>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</si>
  <si>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</si>
  <si>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</si>
  <si>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</si>
  <si>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</si>
  <si>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</si>
  <si>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</si>
  <si>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</si>
  <si>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Voyage scolaire part famille 50 000 départ septembre</t>
  </si>
  <si>
    <t>familles Paiement en 4 fois 250*4 (250*4*50 élèves)</t>
  </si>
  <si>
    <t>12500 (A)</t>
  </si>
  <si>
    <t>début février</t>
  </si>
  <si>
    <t>début avril</t>
  </si>
  <si>
    <t>12500 (A et B)</t>
  </si>
  <si>
    <t>début juillet</t>
  </si>
  <si>
    <t>début septembre</t>
  </si>
  <si>
    <t xml:space="preserve"> 12500 (B)</t>
  </si>
  <si>
    <t>début octobre</t>
  </si>
  <si>
    <t>12500 (B)</t>
  </si>
  <si>
    <t>Voyagiste</t>
  </si>
  <si>
    <t>acompte 10% début février</t>
  </si>
  <si>
    <t>acompte 20% début avril</t>
  </si>
  <si>
    <t>acompte 40 % début juillet</t>
  </si>
  <si>
    <t>solde 30 % début septembre</t>
  </si>
  <si>
    <t>impayés</t>
  </si>
  <si>
    <t>dépense recette -4000 €</t>
  </si>
  <si>
    <t>DC par trimestre</t>
  </si>
  <si>
    <t>Total acompte voyages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</si>
</sst>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_-* #,##0.0000\ _€_-;\-* #,##0.0000\ _€_-;_-* &quot;-&quot;??\ _€_-;_-@_-"/>
    <numFmt numFmtId="166" formatCode="_-* #,##0.0000\ _€_-;\-* #,##0.0000\ _€_-;_-* &quot;-&quot;????\ _€_-;_-@_-"/>
    <numFmt numFmtId="167" formatCode="_-* #,##0.0\ _€_-;\-* #,##0.0\ _€_-;_-* &quot;-&quot;??\ _€_-;_-@_-"/>
    <numFmt numFmtId="168" formatCode="_-* #,##0\ _€_-;\-* #,##0\ _€_-;_-* &quot;-&quot;??\ _€_-;_-@_-"/>
    <numFmt numFmtId="169" formatCode="[$-40C]dddd\ d\ mmmm\ yyyy"/>
    <numFmt numFmtId="170" formatCode="_-* #,##0.00\ [$€-40C]_-;\-* #,##0.00\ [$€-40C]_-;_-* &quot;-&quot;??\ [$€-40C]_-;_-@_-"/>
    <numFmt numFmtId="171" formatCode="_(* #,##0.00_);_(* \(#,##0.00\);_(* &quot;-&quot;??_);_(@_)"/>
    <numFmt numFmtId="172" formatCode="_-* #\ ##0\ _€_-;\-* #\ ##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Arial"/>
      <family val="2"/>
    </font>
    <font>
      <sz val="12"/>
      <color indexed="8"/>
      <name val="Calibri"/>
      <family val="0"/>
    </font>
    <font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35" fillId="29" borderId="0" applyNumberFormat="0" applyBorder="0" applyAlignment="0" applyProtection="0"/>
    <xf numFmtId="0" fontId="34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43" fontId="0" fillId="33" borderId="10" xfId="44" applyNumberFormat="1" applyFont="1" applyFill="1" applyBorder="1" applyAlignment="1">
      <alignment/>
    </xf>
    <xf numFmtId="43" fontId="43" fillId="33" borderId="10" xfId="44" applyNumberFormat="1" applyFont="1" applyFill="1" applyBorder="1" applyAlignment="1">
      <alignment/>
    </xf>
    <xf numFmtId="0" fontId="43" fillId="33" borderId="0" xfId="0" applyFont="1" applyFill="1" applyAlignment="1">
      <alignment/>
    </xf>
    <xf numFmtId="43" fontId="43" fillId="33" borderId="0" xfId="0" applyNumberFormat="1" applyFont="1" applyFill="1" applyAlignment="1">
      <alignment/>
    </xf>
    <xf numFmtId="43" fontId="43" fillId="33" borderId="10" xfId="0" applyNumberFormat="1" applyFont="1" applyFill="1" applyBorder="1" applyAlignment="1">
      <alignment/>
    </xf>
    <xf numFmtId="168" fontId="43" fillId="33" borderId="10" xfId="44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44" fontId="0" fillId="33" borderId="10" xfId="44" applyNumberFormat="1" applyFont="1" applyFill="1" applyBorder="1" applyAlignment="1">
      <alignment vertical="center"/>
    </xf>
    <xf numFmtId="0" fontId="43" fillId="33" borderId="12" xfId="0" applyFont="1" applyFill="1" applyBorder="1" applyAlignment="1">
      <alignment horizontal="center" vertical="center"/>
    </xf>
    <xf numFmtId="17" fontId="0" fillId="33" borderId="10" xfId="0" applyNumberFormat="1" applyFill="1" applyBorder="1" applyAlignment="1">
      <alignment horizontal="center"/>
    </xf>
    <xf numFmtId="43" fontId="45" fillId="33" borderId="10" xfId="44" applyNumberFormat="1" applyFont="1" applyFill="1" applyBorder="1" applyAlignment="1">
      <alignment/>
    </xf>
    <xf numFmtId="0" fontId="45" fillId="33" borderId="11" xfId="0" applyFont="1" applyFill="1" applyBorder="1" applyAlignment="1">
      <alignment/>
    </xf>
    <xf numFmtId="0" fontId="34" fillId="0" borderId="0" xfId="50">
      <alignment/>
      <protection/>
    </xf>
    <xf numFmtId="0" fontId="34" fillId="0" borderId="10" xfId="50" applyBorder="1">
      <alignment/>
      <protection/>
    </xf>
    <xf numFmtId="0" fontId="46" fillId="34" borderId="10" xfId="50" applyFont="1" applyFill="1" applyBorder="1">
      <alignment/>
      <protection/>
    </xf>
    <xf numFmtId="44" fontId="34" fillId="0" borderId="10" xfId="48" applyFont="1" applyBorder="1" applyAlignment="1">
      <alignment/>
    </xf>
    <xf numFmtId="0" fontId="46" fillId="35" borderId="10" xfId="50" applyFont="1" applyFill="1" applyBorder="1">
      <alignment/>
      <protection/>
    </xf>
    <xf numFmtId="44" fontId="34" fillId="0" borderId="0" xfId="50" applyNumberFormat="1">
      <alignment/>
      <protection/>
    </xf>
    <xf numFmtId="0" fontId="34" fillId="34" borderId="10" xfId="50" applyFill="1" applyBorder="1">
      <alignment/>
      <protection/>
    </xf>
    <xf numFmtId="0" fontId="46" fillId="36" borderId="10" xfId="50" applyFont="1" applyFill="1" applyBorder="1">
      <alignment/>
      <protection/>
    </xf>
    <xf numFmtId="44" fontId="46" fillId="36" borderId="10" xfId="48" applyFont="1" applyFill="1" applyBorder="1" applyAlignment="1">
      <alignment/>
    </xf>
    <xf numFmtId="0" fontId="46" fillId="37" borderId="10" xfId="50" applyFont="1" applyFill="1" applyBorder="1">
      <alignment/>
      <protection/>
    </xf>
    <xf numFmtId="44" fontId="46" fillId="37" borderId="10" xfId="48" applyFont="1" applyFill="1" applyBorder="1" applyAlignment="1">
      <alignment/>
    </xf>
    <xf numFmtId="170" fontId="34" fillId="0" borderId="10" xfId="50" applyNumberFormat="1" applyBorder="1">
      <alignment/>
      <protection/>
    </xf>
    <xf numFmtId="0" fontId="34" fillId="0" borderId="10" xfId="50" applyBorder="1" applyAlignment="1">
      <alignment/>
      <protection/>
    </xf>
    <xf numFmtId="44" fontId="34" fillId="0" borderId="10" xfId="50" applyNumberFormat="1" applyBorder="1" applyAlignment="1">
      <alignment/>
      <protection/>
    </xf>
    <xf numFmtId="0" fontId="34" fillId="35" borderId="10" xfId="50" applyFill="1" applyBorder="1">
      <alignment/>
      <protection/>
    </xf>
    <xf numFmtId="43" fontId="0" fillId="33" borderId="10" xfId="44" applyNumberFormat="1" applyFont="1" applyFill="1" applyBorder="1" applyAlignment="1">
      <alignment/>
    </xf>
    <xf numFmtId="9" fontId="0" fillId="34" borderId="0" xfId="0" applyNumberFormat="1" applyFill="1" applyAlignment="1">
      <alignment/>
    </xf>
    <xf numFmtId="0" fontId="0" fillId="34" borderId="0" xfId="0" applyFill="1" applyAlignment="1">
      <alignment/>
    </xf>
    <xf numFmtId="43" fontId="47" fillId="38" borderId="10" xfId="0" applyNumberFormat="1" applyFont="1" applyFill="1" applyBorder="1" applyAlignment="1">
      <alignment/>
    </xf>
    <xf numFmtId="0" fontId="34" fillId="0" borderId="10" xfId="50" applyBorder="1" applyAlignment="1">
      <alignment horizontal="center"/>
      <protection/>
    </xf>
    <xf numFmtId="170" fontId="34" fillId="0" borderId="10" xfId="50" applyNumberFormat="1" applyBorder="1" applyAlignment="1">
      <alignment horizontal="center"/>
      <protection/>
    </xf>
    <xf numFmtId="170" fontId="46" fillId="0" borderId="10" xfId="50" applyNumberFormat="1" applyFont="1" applyBorder="1">
      <alignment/>
      <protection/>
    </xf>
    <xf numFmtId="0" fontId="48" fillId="33" borderId="13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0" xfId="0" applyFont="1" applyFill="1" applyAlignment="1">
      <alignment vertical="center" wrapText="1"/>
    </xf>
    <xf numFmtId="0" fontId="43" fillId="33" borderId="15" xfId="0" applyFont="1" applyFill="1" applyBorder="1" applyAlignment="1">
      <alignment vertical="center" wrapText="1"/>
    </xf>
    <xf numFmtId="0" fontId="49" fillId="35" borderId="10" xfId="50" applyFont="1" applyFill="1" applyBorder="1" applyAlignment="1">
      <alignment horizontal="center"/>
      <protection/>
    </xf>
    <xf numFmtId="0" fontId="46" fillId="0" borderId="16" xfId="50" applyFont="1" applyBorder="1" applyAlignment="1">
      <alignment horizontal="center" vertical="center"/>
      <protection/>
    </xf>
    <xf numFmtId="0" fontId="46" fillId="0" borderId="17" xfId="50" applyFont="1" applyBorder="1" applyAlignment="1">
      <alignment horizontal="center" vertical="center"/>
      <protection/>
    </xf>
    <xf numFmtId="0" fontId="46" fillId="0" borderId="18" xfId="50" applyFont="1" applyBorder="1" applyAlignment="1">
      <alignment horizontal="center" vertical="center"/>
      <protection/>
    </xf>
    <xf numFmtId="0" fontId="46" fillId="0" borderId="19" xfId="50" applyFont="1" applyBorder="1" applyAlignment="1">
      <alignment horizontal="center" vertical="center"/>
      <protection/>
    </xf>
    <xf numFmtId="0" fontId="46" fillId="0" borderId="0" xfId="50" applyFont="1" applyBorder="1" applyAlignment="1">
      <alignment horizontal="center" vertical="center"/>
      <protection/>
    </xf>
    <xf numFmtId="0" fontId="46" fillId="0" borderId="15" xfId="50" applyFont="1" applyBorder="1" applyAlignment="1">
      <alignment horizontal="center" vertical="center"/>
      <protection/>
    </xf>
    <xf numFmtId="0" fontId="46" fillId="0" borderId="20" xfId="50" applyFont="1" applyBorder="1" applyAlignment="1">
      <alignment horizontal="center" vertical="center"/>
      <protection/>
    </xf>
    <xf numFmtId="0" fontId="46" fillId="0" borderId="21" xfId="50" applyFont="1" applyBorder="1" applyAlignment="1">
      <alignment horizontal="center" vertical="center"/>
      <protection/>
    </xf>
    <xf numFmtId="0" fontId="46" fillId="0" borderId="22" xfId="50" applyFont="1" applyBorder="1" applyAlignment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Monétaire 2" xfId="48"/>
    <cellStyle name="Neutre" xfId="49"/>
    <cellStyle name="Normal 2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Bilan 2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25"/>
          <c:y val="0.05125"/>
          <c:w val="0.9295"/>
          <c:h val="0.94375"/>
        </c:manualLayout>
      </c:layout>
      <c:barChart>
        <c:barDir val="col"/>
        <c:grouping val="clustered"/>
        <c:varyColors val="0"/>
        <c:ser>
          <c:idx val="1"/>
          <c:order val="0"/>
          <c:tx>
            <c:v>FdR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'Données mensuelles A'!$C$1:$N$1</c:f>
              <c:strCache>
                <c:ptCount val="12"/>
                <c:pt idx="0">
                  <c:v>41274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</c:strCache>
            </c:strRef>
          </c:cat>
          <c:val>
            <c:numRef>
              <c:f>'Données mensuelles A'!$C$11:$N$11</c:f>
              <c:numCache>
                <c:ptCount val="12"/>
                <c:pt idx="0">
                  <c:v>55000</c:v>
                </c:pt>
                <c:pt idx="1">
                  <c:v>153600</c:v>
                </c:pt>
                <c:pt idx="2">
                  <c:v>121900</c:v>
                </c:pt>
                <c:pt idx="3">
                  <c:v>148900</c:v>
                </c:pt>
                <c:pt idx="4">
                  <c:v>126900</c:v>
                </c:pt>
                <c:pt idx="5">
                  <c:v>104900</c:v>
                </c:pt>
                <c:pt idx="6">
                  <c:v>98200</c:v>
                </c:pt>
                <c:pt idx="7">
                  <c:v>95200</c:v>
                </c:pt>
                <c:pt idx="8">
                  <c:v>70200</c:v>
                </c:pt>
                <c:pt idx="9">
                  <c:v>128200</c:v>
                </c:pt>
                <c:pt idx="10">
                  <c:v>93200</c:v>
                </c:pt>
                <c:pt idx="11">
                  <c:v>59000</c:v>
                </c:pt>
              </c:numCache>
            </c:numRef>
          </c:val>
        </c:ser>
        <c:ser>
          <c:idx val="2"/>
          <c:order val="1"/>
          <c:tx>
            <c:v>BFdR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'Données mensuelles A'!$C$1:$N$1</c:f>
              <c:strCache>
                <c:ptCount val="12"/>
                <c:pt idx="0">
                  <c:v>41274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</c:strCache>
            </c:strRef>
          </c:cat>
          <c:val>
            <c:numRef>
              <c:f>'Données mensuelles A'!$C$16:$N$16</c:f>
              <c:numCache>
                <c:ptCount val="12"/>
                <c:pt idx="0">
                  <c:v>-20000</c:v>
                </c:pt>
                <c:pt idx="1">
                  <c:v>-1834</c:v>
                </c:pt>
                <c:pt idx="2">
                  <c:v>-24001</c:v>
                </c:pt>
                <c:pt idx="3">
                  <c:v>23499</c:v>
                </c:pt>
                <c:pt idx="4">
                  <c:v>7665</c:v>
                </c:pt>
                <c:pt idx="5">
                  <c:v>-8169</c:v>
                </c:pt>
                <c:pt idx="6">
                  <c:v>-16503</c:v>
                </c:pt>
                <c:pt idx="7">
                  <c:v>-16503</c:v>
                </c:pt>
                <c:pt idx="8">
                  <c:v>-14003</c:v>
                </c:pt>
                <c:pt idx="9">
                  <c:v>40663</c:v>
                </c:pt>
                <c:pt idx="10">
                  <c:v>15329</c:v>
                </c:pt>
                <c:pt idx="11">
                  <c:v>-10005</c:v>
                </c:pt>
              </c:numCache>
            </c:numRef>
          </c:val>
        </c:ser>
        <c:ser>
          <c:idx val="0"/>
          <c:order val="2"/>
          <c:tx>
            <c:v>Trésorerie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'Données mensuelles A'!$C$1:$N$1</c:f>
              <c:strCache>
                <c:ptCount val="12"/>
                <c:pt idx="0">
                  <c:v>41274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</c:strCache>
            </c:strRef>
          </c:cat>
          <c:val>
            <c:numRef>
              <c:f>'Données mensuelles A'!$C$19:$N$19</c:f>
              <c:numCache>
                <c:ptCount val="12"/>
                <c:pt idx="0">
                  <c:v>75000</c:v>
                </c:pt>
                <c:pt idx="1">
                  <c:v>155434</c:v>
                </c:pt>
                <c:pt idx="2">
                  <c:v>145901</c:v>
                </c:pt>
                <c:pt idx="3">
                  <c:v>125401</c:v>
                </c:pt>
                <c:pt idx="4">
                  <c:v>119235</c:v>
                </c:pt>
                <c:pt idx="5">
                  <c:v>113069</c:v>
                </c:pt>
                <c:pt idx="6">
                  <c:v>114703</c:v>
                </c:pt>
                <c:pt idx="7">
                  <c:v>111703</c:v>
                </c:pt>
                <c:pt idx="8">
                  <c:v>84203</c:v>
                </c:pt>
                <c:pt idx="9">
                  <c:v>87537</c:v>
                </c:pt>
                <c:pt idx="10">
                  <c:v>77871</c:v>
                </c:pt>
                <c:pt idx="11">
                  <c:v>69005</c:v>
                </c:pt>
              </c:numCache>
            </c:numRef>
          </c:val>
        </c:ser>
        <c:axId val="12459157"/>
        <c:axId val="45023550"/>
      </c:barChart>
      <c:dateAx>
        <c:axId val="1245915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2355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50235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591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8"/>
          <c:y val="0.471"/>
          <c:w val="0.074"/>
          <c:h val="0.1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Ratio M9.6 - 2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0675"/>
          <c:w val="0.86575"/>
          <c:h val="0.9335"/>
        </c:manualLayout>
      </c:layout>
      <c:lineChart>
        <c:grouping val="stacked"/>
        <c:varyColors val="0"/>
        <c:ser>
          <c:idx val="0"/>
          <c:order val="0"/>
          <c:tx>
            <c:strRef>
              <c:f>'Données mensuelles A'!$A$39</c:f>
              <c:strCache>
                <c:ptCount val="1"/>
                <c:pt idx="0">
                  <c:v>jours de FdR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'Données mensuelles A'!$C$1:$N$1</c:f>
              <c:strCache>
                <c:ptCount val="12"/>
                <c:pt idx="0">
                  <c:v>41274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</c:strCache>
            </c:strRef>
          </c:cat>
          <c:val>
            <c:numRef>
              <c:f>'Données mensuelles A'!$C$39:$N$39</c:f>
              <c:numCache>
                <c:ptCount val="12"/>
                <c:pt idx="0">
                  <c:v>66</c:v>
                </c:pt>
                <c:pt idx="1">
                  <c:v>774.453781512605</c:v>
                </c:pt>
                <c:pt idx="2">
                  <c:v>425.6450048496605</c:v>
                </c:pt>
                <c:pt idx="3">
                  <c:v>425.0911974623315</c:v>
                </c:pt>
                <c:pt idx="4">
                  <c:v>308.46725185685347</c:v>
                </c:pt>
                <c:pt idx="5">
                  <c:v>222.010582010582</c:v>
                </c:pt>
                <c:pt idx="6">
                  <c:v>199.95475113122174</c:v>
                </c:pt>
                <c:pt idx="7">
                  <c:v>190.61179087875416</c:v>
                </c:pt>
                <c:pt idx="8">
                  <c:v>99.18367346938774</c:v>
                </c:pt>
                <c:pt idx="9">
                  <c:v>166.73410404624278</c:v>
                </c:pt>
                <c:pt idx="10">
                  <c:v>107.6074406670943</c:v>
                </c:pt>
                <c:pt idx="11">
                  <c:v>61.38728323699422</c:v>
                </c:pt>
              </c:numCache>
            </c:numRef>
          </c:val>
          <c:smooth val="0"/>
        </c:ser>
        <c:ser>
          <c:idx val="1"/>
          <c:order val="1"/>
          <c:tx>
            <c:v>Jours de trésorerie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'Données mensuelles A'!$C$1:$N$1</c:f>
              <c:strCache>
                <c:ptCount val="12"/>
                <c:pt idx="0">
                  <c:v>41274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</c:strCache>
            </c:strRef>
          </c:cat>
          <c:val>
            <c:numRef>
              <c:f>'Données mensuelles A'!$C$40:$N$40</c:f>
              <c:numCache>
                <c:ptCount val="12"/>
                <c:pt idx="0">
                  <c:v>90</c:v>
                </c:pt>
                <c:pt idx="1">
                  <c:v>783.7008403361344</c:v>
                </c:pt>
                <c:pt idx="2">
                  <c:v>509.45063045586807</c:v>
                </c:pt>
                <c:pt idx="3">
                  <c:v>358.0044409199048</c:v>
                </c:pt>
                <c:pt idx="4">
                  <c:v>289.8352464550979</c:v>
                </c:pt>
                <c:pt idx="5">
                  <c:v>239.2994708994709</c:v>
                </c:pt>
                <c:pt idx="6">
                  <c:v>233.55814479638008</c:v>
                </c:pt>
                <c:pt idx="7">
                  <c:v>223.65450500556173</c:v>
                </c:pt>
                <c:pt idx="8">
                  <c:v>118.96813186813186</c:v>
                </c:pt>
                <c:pt idx="9">
                  <c:v>113.84869942196532</c:v>
                </c:pt>
                <c:pt idx="10">
                  <c:v>89.90878768441308</c:v>
                </c:pt>
                <c:pt idx="11">
                  <c:v>71.79710982658959</c:v>
                </c:pt>
              </c:numCache>
            </c:numRef>
          </c:val>
          <c:smooth val="0"/>
        </c:ser>
        <c:marker val="1"/>
        <c:axId val="2558767"/>
        <c:axId val="23028904"/>
      </c:lineChart>
      <c:dateAx>
        <c:axId val="255876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2890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30289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87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"/>
          <c:y val="0.502"/>
          <c:w val="0.137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zoomScale="87" zoomScaleNormal="87" zoomScaleSheetLayoutView="76" zoomScalePageLayoutView="0" workbookViewId="0" topLeftCell="A1">
      <selection activeCell="Q8" sqref="Q8"/>
    </sheetView>
  </sheetViews>
  <sheetFormatPr defaultColWidth="11.421875" defaultRowHeight="15"/>
  <cols>
    <col min="1" max="1" width="20.57421875" style="1" bestFit="1" customWidth="1"/>
    <col min="2" max="2" width="15.8515625" style="1" bestFit="1" customWidth="1"/>
    <col min="3" max="9" width="18.28125" style="1" customWidth="1"/>
    <col min="10" max="13" width="18.28125" style="1" bestFit="1" customWidth="1"/>
    <col min="14" max="14" width="17.7109375" style="1" bestFit="1" customWidth="1"/>
    <col min="15" max="15" width="12.8515625" style="1" bestFit="1" customWidth="1"/>
    <col min="16" max="16384" width="11.421875" style="1" customWidth="1"/>
  </cols>
  <sheetData>
    <row r="1" spans="2:14" ht="14.25">
      <c r="B1" s="2"/>
      <c r="C1" s="12">
        <v>41274</v>
      </c>
      <c r="D1" s="12">
        <v>41306</v>
      </c>
      <c r="E1" s="12">
        <v>41334</v>
      </c>
      <c r="F1" s="12">
        <v>41365</v>
      </c>
      <c r="G1" s="12">
        <v>41395</v>
      </c>
      <c r="H1" s="12">
        <v>41426</v>
      </c>
      <c r="I1" s="12">
        <v>41456</v>
      </c>
      <c r="J1" s="12">
        <v>41487</v>
      </c>
      <c r="K1" s="12">
        <v>41518</v>
      </c>
      <c r="L1" s="12">
        <v>41548</v>
      </c>
      <c r="M1" s="12">
        <v>41579</v>
      </c>
      <c r="N1" s="12">
        <v>41609</v>
      </c>
    </row>
    <row r="2" spans="2:14" ht="15" thickBo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4" ht="14.25">
      <c r="A3" s="37" t="s">
        <v>15</v>
      </c>
      <c r="B3" s="9" t="s">
        <v>2</v>
      </c>
      <c r="C3" s="3">
        <v>0</v>
      </c>
      <c r="D3" s="3">
        <v>0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4.25">
      <c r="A4" s="38"/>
      <c r="B4" s="9" t="s">
        <v>1</v>
      </c>
      <c r="C4" s="3">
        <v>80000</v>
      </c>
      <c r="D4" s="3">
        <f>C4</f>
        <v>80000</v>
      </c>
      <c r="E4" s="3">
        <f aca="true" t="shared" si="0" ref="E4:N4">D4</f>
        <v>80000</v>
      </c>
      <c r="F4" s="3">
        <f t="shared" si="0"/>
        <v>80000</v>
      </c>
      <c r="G4" s="3">
        <f t="shared" si="0"/>
        <v>80000</v>
      </c>
      <c r="H4" s="3">
        <f t="shared" si="0"/>
        <v>80000</v>
      </c>
      <c r="I4" s="3">
        <f t="shared" si="0"/>
        <v>80000</v>
      </c>
      <c r="J4" s="3">
        <f t="shared" si="0"/>
        <v>80000</v>
      </c>
      <c r="K4" s="3">
        <f t="shared" si="0"/>
        <v>80000</v>
      </c>
      <c r="L4" s="3">
        <f t="shared" si="0"/>
        <v>80000</v>
      </c>
      <c r="M4" s="3">
        <f t="shared" si="0"/>
        <v>80000</v>
      </c>
      <c r="N4" s="3">
        <f t="shared" si="0"/>
        <v>80000</v>
      </c>
    </row>
    <row r="5" spans="1:14" ht="14.25">
      <c r="A5" s="38"/>
      <c r="B5" s="9" t="s">
        <v>3</v>
      </c>
      <c r="C5" s="3">
        <v>25000</v>
      </c>
      <c r="D5" s="3">
        <f>C5</f>
        <v>25000</v>
      </c>
      <c r="E5" s="3">
        <f aca="true" t="shared" si="1" ref="E5:N5">D5</f>
        <v>25000</v>
      </c>
      <c r="F5" s="3">
        <f t="shared" si="1"/>
        <v>25000</v>
      </c>
      <c r="G5" s="3">
        <f t="shared" si="1"/>
        <v>25000</v>
      </c>
      <c r="H5" s="3">
        <f t="shared" si="1"/>
        <v>25000</v>
      </c>
      <c r="I5" s="3">
        <f t="shared" si="1"/>
        <v>25000</v>
      </c>
      <c r="J5" s="3">
        <f t="shared" si="1"/>
        <v>25000</v>
      </c>
      <c r="K5" s="3">
        <f t="shared" si="1"/>
        <v>25000</v>
      </c>
      <c r="L5" s="3">
        <f t="shared" si="1"/>
        <v>25000</v>
      </c>
      <c r="M5" s="3">
        <f t="shared" si="1"/>
        <v>25000</v>
      </c>
      <c r="N5" s="3">
        <f t="shared" si="1"/>
        <v>25000</v>
      </c>
    </row>
    <row r="6" spans="1:14" ht="14.25">
      <c r="A6" s="38"/>
      <c r="B6" s="9" t="s">
        <v>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4.25">
      <c r="A7" s="38"/>
      <c r="B7" s="9" t="s">
        <v>13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7" ht="14.25">
      <c r="A8" s="38"/>
      <c r="B8" s="9" t="s">
        <v>11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Q8" s="1">
        <f>3499+2997+6995</f>
        <v>13491</v>
      </c>
    </row>
    <row r="9" spans="1:14" ht="14.25">
      <c r="A9" s="38"/>
      <c r="B9" s="9" t="s">
        <v>12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" thickBot="1">
      <c r="A10" s="39"/>
      <c r="B10" s="9"/>
      <c r="C10" s="4">
        <f aca="true" t="shared" si="2" ref="C10:N10">C4+SUM(C6:C9)-C3-C5</f>
        <v>55000</v>
      </c>
      <c r="D10" s="4">
        <f>D4+SUM(D6:D9)-D3-D5</f>
        <v>55000</v>
      </c>
      <c r="E10" s="4">
        <f>E4+SUM(E6:E9)-E3-E5</f>
        <v>55000</v>
      </c>
      <c r="F10" s="4">
        <f t="shared" si="2"/>
        <v>55000</v>
      </c>
      <c r="G10" s="4">
        <f t="shared" si="2"/>
        <v>55000</v>
      </c>
      <c r="H10" s="4">
        <f t="shared" si="2"/>
        <v>55000</v>
      </c>
      <c r="I10" s="4">
        <f t="shared" si="2"/>
        <v>55000</v>
      </c>
      <c r="J10" s="4">
        <f t="shared" si="2"/>
        <v>55000</v>
      </c>
      <c r="K10" s="4">
        <f t="shared" si="2"/>
        <v>55000</v>
      </c>
      <c r="L10" s="4">
        <f t="shared" si="2"/>
        <v>55000</v>
      </c>
      <c r="M10" s="4">
        <f t="shared" si="2"/>
        <v>55000</v>
      </c>
      <c r="N10" s="4">
        <f t="shared" si="2"/>
        <v>55000</v>
      </c>
    </row>
    <row r="11" spans="1:14" ht="15" thickBot="1">
      <c r="A11" s="11"/>
      <c r="B11" s="14" t="s">
        <v>31</v>
      </c>
      <c r="C11" s="13">
        <f>C10+C31</f>
        <v>55000</v>
      </c>
      <c r="D11" s="13">
        <f>D10+D31</f>
        <v>153600</v>
      </c>
      <c r="E11" s="13">
        <f aca="true" t="shared" si="3" ref="E11:N11">E10+E31</f>
        <v>121900</v>
      </c>
      <c r="F11" s="13">
        <f t="shared" si="3"/>
        <v>148900</v>
      </c>
      <c r="G11" s="13">
        <f t="shared" si="3"/>
        <v>126900</v>
      </c>
      <c r="H11" s="13">
        <f t="shared" si="3"/>
        <v>104900</v>
      </c>
      <c r="I11" s="13">
        <f t="shared" si="3"/>
        <v>98200</v>
      </c>
      <c r="J11" s="13">
        <f t="shared" si="3"/>
        <v>95200</v>
      </c>
      <c r="K11" s="13">
        <f t="shared" si="3"/>
        <v>70200</v>
      </c>
      <c r="L11" s="13">
        <f t="shared" si="3"/>
        <v>128200</v>
      </c>
      <c r="M11" s="13">
        <f t="shared" si="3"/>
        <v>93200</v>
      </c>
      <c r="N11" s="13">
        <f t="shared" si="3"/>
        <v>59000</v>
      </c>
    </row>
    <row r="12" spans="1:14" ht="14.25">
      <c r="A12" s="40" t="s">
        <v>16</v>
      </c>
      <c r="B12" s="9" t="s">
        <v>5</v>
      </c>
      <c r="C12" s="3">
        <v>5000</v>
      </c>
      <c r="D12" s="3">
        <v>5000</v>
      </c>
      <c r="E12" s="3">
        <v>5000</v>
      </c>
      <c r="F12" s="3">
        <v>5000</v>
      </c>
      <c r="G12" s="3">
        <v>5000</v>
      </c>
      <c r="H12" s="3">
        <v>5000</v>
      </c>
      <c r="I12" s="3">
        <v>5000</v>
      </c>
      <c r="J12" s="3">
        <v>5000</v>
      </c>
      <c r="K12" s="3">
        <v>5000</v>
      </c>
      <c r="L12" s="3">
        <v>5000</v>
      </c>
      <c r="M12" s="3">
        <v>5000</v>
      </c>
      <c r="N12" s="3">
        <v>5000</v>
      </c>
    </row>
    <row r="13" spans="1:16" ht="14.25">
      <c r="A13" s="41"/>
      <c r="B13" s="9" t="s">
        <v>6</v>
      </c>
      <c r="C13" s="3">
        <v>0</v>
      </c>
      <c r="D13" s="3">
        <f>70000-('exercice mois par mois'!B49+'exercice mois par mois'!B50)</f>
        <v>25666</v>
      </c>
      <c r="E13" s="3">
        <f>D13-'exercice mois par mois'!B51</f>
        <v>3499</v>
      </c>
      <c r="F13" s="3">
        <f>(E13+50000)-'exercice mois par mois'!B52</f>
        <v>53499</v>
      </c>
      <c r="G13" s="3">
        <f>F13-'exercice mois par mois'!B53</f>
        <v>37665</v>
      </c>
      <c r="H13" s="3">
        <f>G13-'exercice mois par mois'!B54</f>
        <v>21831</v>
      </c>
      <c r="I13" s="3">
        <f>H13-'exercice mois par mois'!B55</f>
        <v>5997</v>
      </c>
      <c r="J13" s="3">
        <f>I13-'exercice mois par mois'!B56</f>
        <v>5997</v>
      </c>
      <c r="K13" s="3">
        <f>J13-'exercice mois par mois'!B57</f>
        <v>5997</v>
      </c>
      <c r="L13" s="3">
        <f>('exercice mois par mois'!D31+K13)-'exercice mois par mois'!B58</f>
        <v>60663</v>
      </c>
      <c r="M13" s="3">
        <f>L13-'exercice mois par mois'!B59</f>
        <v>35329</v>
      </c>
      <c r="N13" s="3">
        <f>M13-'exercice mois par mois'!B60</f>
        <v>9995</v>
      </c>
      <c r="O13" s="31">
        <v>0.05</v>
      </c>
      <c r="P13" s="32" t="s">
        <v>107</v>
      </c>
    </row>
    <row r="14" spans="1:14" ht="14.25">
      <c r="A14" s="41"/>
      <c r="B14" s="9" t="s">
        <v>7</v>
      </c>
      <c r="C14" s="3">
        <v>25000</v>
      </c>
      <c r="D14" s="3">
        <f>C14+'exercice mois par mois'!D64-'exercice mois par mois'!B71</f>
        <v>32500</v>
      </c>
      <c r="E14" s="3">
        <f>D14</f>
        <v>32500</v>
      </c>
      <c r="F14" s="3">
        <f>E14+'exercice mois par mois'!D65-'exercice mois par mois'!B72</f>
        <v>35000</v>
      </c>
      <c r="G14" s="3">
        <f>F14</f>
        <v>35000</v>
      </c>
      <c r="H14" s="3">
        <f>G14</f>
        <v>35000</v>
      </c>
      <c r="I14" s="3">
        <f>H14+'exercice mois par mois'!D66-'exercice mois par mois'!C73</f>
        <v>27500</v>
      </c>
      <c r="J14" s="3">
        <f>I14</f>
        <v>27500</v>
      </c>
      <c r="K14" s="3">
        <f>(J14+'exercice mois par mois'!D67)-'exercice mois par mois'!C74</f>
        <v>25000</v>
      </c>
      <c r="L14" s="3">
        <f>K14</f>
        <v>25000</v>
      </c>
      <c r="M14" s="3">
        <f>L14</f>
        <v>25000</v>
      </c>
      <c r="N14" s="3">
        <f>M14</f>
        <v>25000</v>
      </c>
    </row>
    <row r="15" spans="1:14" ht="14.25">
      <c r="A15" s="41"/>
      <c r="B15" s="9" t="s">
        <v>14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4.25">
      <c r="A16" s="41"/>
      <c r="B16" s="9"/>
      <c r="C16" s="4">
        <f aca="true" t="shared" si="4" ref="C16:N16">C12+C13-C14+C15+C7+C8</f>
        <v>-20000</v>
      </c>
      <c r="D16" s="4">
        <f t="shared" si="4"/>
        <v>-1834</v>
      </c>
      <c r="E16" s="4">
        <f t="shared" si="4"/>
        <v>-24001</v>
      </c>
      <c r="F16" s="4">
        <f t="shared" si="4"/>
        <v>23499</v>
      </c>
      <c r="G16" s="4">
        <f t="shared" si="4"/>
        <v>7665</v>
      </c>
      <c r="H16" s="4">
        <f t="shared" si="4"/>
        <v>-8169</v>
      </c>
      <c r="I16" s="4">
        <f t="shared" si="4"/>
        <v>-16503</v>
      </c>
      <c r="J16" s="4">
        <f t="shared" si="4"/>
        <v>-16503</v>
      </c>
      <c r="K16" s="4">
        <f t="shared" si="4"/>
        <v>-14003</v>
      </c>
      <c r="L16" s="4">
        <f t="shared" si="4"/>
        <v>40663</v>
      </c>
      <c r="M16" s="4">
        <f t="shared" si="4"/>
        <v>15329</v>
      </c>
      <c r="N16" s="4">
        <f t="shared" si="4"/>
        <v>-10005</v>
      </c>
    </row>
    <row r="17" spans="1:14" ht="15" thickBot="1">
      <c r="A17" s="42"/>
      <c r="B17" s="9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4.25">
      <c r="A18" s="5" t="s">
        <v>17</v>
      </c>
      <c r="B18" s="2"/>
      <c r="C18" s="4">
        <f aca="true" t="shared" si="5" ref="C18:M18">C10-C16</f>
        <v>75000</v>
      </c>
      <c r="D18" s="4">
        <f>D10-D16</f>
        <v>56834</v>
      </c>
      <c r="E18" s="4">
        <f t="shared" si="5"/>
        <v>79001</v>
      </c>
      <c r="F18" s="4">
        <f t="shared" si="5"/>
        <v>31501</v>
      </c>
      <c r="G18" s="4">
        <f t="shared" si="5"/>
        <v>47335</v>
      </c>
      <c r="H18" s="4">
        <f t="shared" si="5"/>
        <v>63169</v>
      </c>
      <c r="I18" s="4">
        <f t="shared" si="5"/>
        <v>71503</v>
      </c>
      <c r="J18" s="4">
        <f t="shared" si="5"/>
        <v>71503</v>
      </c>
      <c r="K18" s="4">
        <f t="shared" si="5"/>
        <v>69003</v>
      </c>
      <c r="L18" s="4">
        <f t="shared" si="5"/>
        <v>14337</v>
      </c>
      <c r="M18" s="4">
        <f t="shared" si="5"/>
        <v>39671</v>
      </c>
      <c r="N18" s="4">
        <v>146562.70999999996</v>
      </c>
    </row>
    <row r="19" spans="2:14" ht="14.25">
      <c r="B19" s="2"/>
      <c r="C19" s="13">
        <f>C11-C16</f>
        <v>75000</v>
      </c>
      <c r="D19" s="13">
        <f>D11-D16</f>
        <v>155434</v>
      </c>
      <c r="E19" s="13">
        <f aca="true" t="shared" si="6" ref="E19:N19">E11-E16</f>
        <v>145901</v>
      </c>
      <c r="F19" s="13">
        <f t="shared" si="6"/>
        <v>125401</v>
      </c>
      <c r="G19" s="13">
        <f t="shared" si="6"/>
        <v>119235</v>
      </c>
      <c r="H19" s="13">
        <f t="shared" si="6"/>
        <v>113069</v>
      </c>
      <c r="I19" s="13">
        <f t="shared" si="6"/>
        <v>114703</v>
      </c>
      <c r="J19" s="13">
        <f t="shared" si="6"/>
        <v>111703</v>
      </c>
      <c r="K19" s="13">
        <f t="shared" si="6"/>
        <v>84203</v>
      </c>
      <c r="L19" s="13">
        <f t="shared" si="6"/>
        <v>87537</v>
      </c>
      <c r="M19" s="13">
        <f t="shared" si="6"/>
        <v>77871</v>
      </c>
      <c r="N19" s="13">
        <f t="shared" si="6"/>
        <v>69005</v>
      </c>
    </row>
    <row r="20" spans="2:17" ht="14.25">
      <c r="B20" s="2" t="s">
        <v>8</v>
      </c>
      <c r="C20" s="3">
        <v>300000</v>
      </c>
      <c r="D20" s="3">
        <f>'exercice mois par mois'!B13+'exercice mois par mois'!B14+'exercice mois par mois'!B34+'exercice mois par mois'!B35</f>
        <v>71400</v>
      </c>
      <c r="E20" s="3">
        <f>'exercice mois par mois'!B15+'exercice mois par mois'!B36+D20</f>
        <v>103100</v>
      </c>
      <c r="F20" s="3">
        <f>'exercice mois par mois'!B16+'exercice mois par mois'!B37+E20</f>
        <v>126100</v>
      </c>
      <c r="G20" s="3">
        <f>'exercice mois par mois'!B17+'exercice mois par mois'!B38+F20</f>
        <v>148100</v>
      </c>
      <c r="H20" s="3">
        <f>'exercice mois par mois'!B18+'exercice mois par mois'!B39+G20</f>
        <v>170100</v>
      </c>
      <c r="I20" s="3">
        <f>'exercice mois par mois'!B19+'exercice mois par mois'!B40+H20</f>
        <v>176800</v>
      </c>
      <c r="J20" s="3">
        <f>'exercice mois par mois'!B20+'exercice mois par mois'!B41+I20</f>
        <v>179800</v>
      </c>
      <c r="K20" s="3">
        <f>'exercice mois par mois'!B21+'exercice mois par mois'!B42+J20+'exercice mois par mois'!D68</f>
        <v>254800</v>
      </c>
      <c r="L20" s="3">
        <f>'exercice mois par mois'!B43+'exercice mois par mois'!B22+K20</f>
        <v>276800</v>
      </c>
      <c r="M20" s="3">
        <f>'exercice mois par mois'!B23+'exercice mois par mois'!B44+L20</f>
        <v>311800</v>
      </c>
      <c r="N20" s="3">
        <f>'exercice mois par mois'!B24+'exercice mois par mois'!B45+M20</f>
        <v>346000</v>
      </c>
      <c r="O20" s="32" t="s">
        <v>108</v>
      </c>
      <c r="P20" s="32"/>
      <c r="Q20" s="32"/>
    </row>
    <row r="21" spans="2:14" ht="14.25">
      <c r="B21" s="2" t="s">
        <v>9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2:14" ht="14.25">
      <c r="B22" s="2" t="s">
        <v>19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/>
      <c r="J22" s="3"/>
      <c r="K22" s="3"/>
      <c r="L22" s="3"/>
      <c r="M22" s="3"/>
      <c r="N22" s="3"/>
    </row>
    <row r="23" spans="2:14" ht="14.25">
      <c r="B23" s="2" t="s">
        <v>18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2:14" ht="14.25">
      <c r="B24" s="2" t="s">
        <v>10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ht="14.25">
      <c r="B25" s="2" t="s">
        <v>24</v>
      </c>
      <c r="C25" s="3">
        <v>300000</v>
      </c>
      <c r="D25" s="3">
        <f>'exercice mois par mois'!B8+'exercice mois par mois'!D29</f>
        <v>170000</v>
      </c>
      <c r="E25" s="3">
        <f>D25</f>
        <v>170000</v>
      </c>
      <c r="F25" s="3">
        <f>E25+'exercice mois par mois'!D30</f>
        <v>220000</v>
      </c>
      <c r="G25" s="30">
        <f>F25</f>
        <v>220000</v>
      </c>
      <c r="H25" s="3">
        <f>G25</f>
        <v>220000</v>
      </c>
      <c r="I25" s="3">
        <f>H25</f>
        <v>220000</v>
      </c>
      <c r="J25" s="3">
        <f>I25</f>
        <v>220000</v>
      </c>
      <c r="K25" s="3">
        <f>J25+'exercice mois par mois'!D68</f>
        <v>270000</v>
      </c>
      <c r="L25" s="3">
        <f>K25+'exercice mois par mois'!D31</f>
        <v>350000</v>
      </c>
      <c r="M25" s="3">
        <f>L25</f>
        <v>350000</v>
      </c>
      <c r="N25" s="3">
        <f>M25</f>
        <v>350000</v>
      </c>
    </row>
    <row r="26" spans="2:14" ht="14.25">
      <c r="B26" s="2" t="s">
        <v>22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2:14" ht="14.25">
      <c r="B27" s="2" t="s">
        <v>20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2:14" ht="14.25">
      <c r="B28" s="2" t="s">
        <v>21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/>
      <c r="J28" s="3"/>
      <c r="K28" s="3"/>
      <c r="L28" s="3"/>
      <c r="M28" s="3"/>
      <c r="N28" s="3"/>
    </row>
    <row r="29" spans="2:14" ht="14.25">
      <c r="B29" s="2" t="s">
        <v>23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4.25">
      <c r="A30" s="5" t="s">
        <v>25</v>
      </c>
      <c r="C30" s="6">
        <f>(C25-C24)-(C20+C21)</f>
        <v>0</v>
      </c>
      <c r="D30" s="6">
        <f>(D25-D24)-(D20+D21)</f>
        <v>98600</v>
      </c>
      <c r="E30" s="6">
        <f aca="true" t="shared" si="7" ref="E30:N30">(E25-E24)-(E20+E21)</f>
        <v>66900</v>
      </c>
      <c r="F30" s="6">
        <f t="shared" si="7"/>
        <v>93900</v>
      </c>
      <c r="G30" s="6">
        <f t="shared" si="7"/>
        <v>71900</v>
      </c>
      <c r="H30" s="6">
        <f t="shared" si="7"/>
        <v>49900</v>
      </c>
      <c r="I30" s="6">
        <f t="shared" si="7"/>
        <v>43200</v>
      </c>
      <c r="J30" s="6">
        <f t="shared" si="7"/>
        <v>40200</v>
      </c>
      <c r="K30" s="6">
        <f t="shared" si="7"/>
        <v>15200</v>
      </c>
      <c r="L30" s="6">
        <f t="shared" si="7"/>
        <v>73200</v>
      </c>
      <c r="M30" s="6">
        <f t="shared" si="7"/>
        <v>38200</v>
      </c>
      <c r="N30" s="6">
        <f t="shared" si="7"/>
        <v>4000</v>
      </c>
    </row>
    <row r="31" spans="1:14" ht="14.25">
      <c r="A31" s="5" t="s">
        <v>26</v>
      </c>
      <c r="C31" s="6">
        <f>C30+SUM(C22:C23)-SUM(C26:C29)</f>
        <v>0</v>
      </c>
      <c r="D31" s="6">
        <f aca="true" t="shared" si="8" ref="D31:N31">D30+SUM(D22:D23)-SUM(D26:D29)</f>
        <v>98600</v>
      </c>
      <c r="E31" s="6">
        <f t="shared" si="8"/>
        <v>66900</v>
      </c>
      <c r="F31" s="6">
        <f t="shared" si="8"/>
        <v>93900</v>
      </c>
      <c r="G31" s="6">
        <f t="shared" si="8"/>
        <v>71900</v>
      </c>
      <c r="H31" s="6">
        <f t="shared" si="8"/>
        <v>49900</v>
      </c>
      <c r="I31" s="6">
        <f t="shared" si="8"/>
        <v>43200</v>
      </c>
      <c r="J31" s="6">
        <f t="shared" si="8"/>
        <v>40200</v>
      </c>
      <c r="K31" s="6">
        <f t="shared" si="8"/>
        <v>15200</v>
      </c>
      <c r="L31" s="6">
        <f t="shared" si="8"/>
        <v>73200</v>
      </c>
      <c r="M31" s="6">
        <f t="shared" si="8"/>
        <v>38200</v>
      </c>
      <c r="N31" s="6">
        <f t="shared" si="8"/>
        <v>4000</v>
      </c>
    </row>
    <row r="33" spans="1:14" ht="14.25">
      <c r="A33" s="5" t="s">
        <v>30</v>
      </c>
      <c r="C33" s="7">
        <f>C31</f>
        <v>0</v>
      </c>
      <c r="D33" s="7">
        <f>D31-D5+C5+D4-C4</f>
        <v>98600</v>
      </c>
      <c r="E33" s="7">
        <f aca="true" t="shared" si="9" ref="E33:N33">E31-E5+D5+E4-D4</f>
        <v>66900</v>
      </c>
      <c r="F33" s="7">
        <f t="shared" si="9"/>
        <v>93900</v>
      </c>
      <c r="G33" s="7">
        <f t="shared" si="9"/>
        <v>71900</v>
      </c>
      <c r="H33" s="7">
        <f t="shared" si="9"/>
        <v>49900</v>
      </c>
      <c r="I33" s="7">
        <f t="shared" si="9"/>
        <v>43200</v>
      </c>
      <c r="J33" s="7">
        <f t="shared" si="9"/>
        <v>40200</v>
      </c>
      <c r="K33" s="7">
        <f t="shared" si="9"/>
        <v>15200</v>
      </c>
      <c r="L33" s="7">
        <f t="shared" si="9"/>
        <v>73200</v>
      </c>
      <c r="M33" s="7">
        <f t="shared" si="9"/>
        <v>38200</v>
      </c>
      <c r="N33" s="7">
        <f t="shared" si="9"/>
        <v>4000</v>
      </c>
    </row>
    <row r="35" spans="1:14" ht="18">
      <c r="A35" s="5" t="s">
        <v>27</v>
      </c>
      <c r="C35" s="7">
        <f>C10-SUM(C12:C13)</f>
        <v>50000</v>
      </c>
      <c r="D35" s="7">
        <f aca="true" t="shared" si="10" ref="D35:N35">D10-SUM(D12:D13)</f>
        <v>24334</v>
      </c>
      <c r="E35" s="7">
        <f t="shared" si="10"/>
        <v>46501</v>
      </c>
      <c r="F35" s="33">
        <f t="shared" si="10"/>
        <v>-3499</v>
      </c>
      <c r="G35" s="7">
        <f t="shared" si="10"/>
        <v>12335</v>
      </c>
      <c r="H35" s="7">
        <f t="shared" si="10"/>
        <v>28169</v>
      </c>
      <c r="I35" s="7">
        <f t="shared" si="10"/>
        <v>44003</v>
      </c>
      <c r="J35" s="7">
        <f t="shared" si="10"/>
        <v>44003</v>
      </c>
      <c r="K35" s="7">
        <f t="shared" si="10"/>
        <v>44003</v>
      </c>
      <c r="L35" s="33">
        <f t="shared" si="10"/>
        <v>-10663</v>
      </c>
      <c r="M35" s="7">
        <f t="shared" si="10"/>
        <v>14671</v>
      </c>
      <c r="N35" s="7">
        <f t="shared" si="10"/>
        <v>40005</v>
      </c>
    </row>
    <row r="37" spans="1:14" ht="90" customHeight="1">
      <c r="A37" s="43" t="s">
        <v>28</v>
      </c>
      <c r="B37" s="44"/>
      <c r="C37" s="10">
        <v>300000</v>
      </c>
      <c r="D37" s="10">
        <f>D20</f>
        <v>71400</v>
      </c>
      <c r="E37" s="10">
        <f aca="true" t="shared" si="11" ref="E37:N37">E20</f>
        <v>103100</v>
      </c>
      <c r="F37" s="10">
        <f t="shared" si="11"/>
        <v>126100</v>
      </c>
      <c r="G37" s="10">
        <f t="shared" si="11"/>
        <v>148100</v>
      </c>
      <c r="H37" s="10">
        <f t="shared" si="11"/>
        <v>170100</v>
      </c>
      <c r="I37" s="10">
        <f t="shared" si="11"/>
        <v>176800</v>
      </c>
      <c r="J37" s="10">
        <f t="shared" si="11"/>
        <v>179800</v>
      </c>
      <c r="K37" s="10">
        <f t="shared" si="11"/>
        <v>254800</v>
      </c>
      <c r="L37" s="10">
        <f t="shared" si="11"/>
        <v>276800</v>
      </c>
      <c r="M37" s="10">
        <f t="shared" si="11"/>
        <v>311800</v>
      </c>
      <c r="N37" s="10">
        <f t="shared" si="11"/>
        <v>346000</v>
      </c>
    </row>
    <row r="39" spans="1:14" ht="14.25">
      <c r="A39" s="5" t="s">
        <v>29</v>
      </c>
      <c r="C39" s="8">
        <f>(C11/C37)*360</f>
        <v>66</v>
      </c>
      <c r="D39" s="8">
        <f aca="true" t="shared" si="12" ref="D39:N39">(D11/D37)*360</f>
        <v>774.453781512605</v>
      </c>
      <c r="E39" s="8">
        <f t="shared" si="12"/>
        <v>425.6450048496605</v>
      </c>
      <c r="F39" s="8">
        <f t="shared" si="12"/>
        <v>425.0911974623315</v>
      </c>
      <c r="G39" s="8">
        <f t="shared" si="12"/>
        <v>308.46725185685347</v>
      </c>
      <c r="H39" s="8">
        <f t="shared" si="12"/>
        <v>222.010582010582</v>
      </c>
      <c r="I39" s="8">
        <f t="shared" si="12"/>
        <v>199.95475113122174</v>
      </c>
      <c r="J39" s="8">
        <f t="shared" si="12"/>
        <v>190.61179087875416</v>
      </c>
      <c r="K39" s="8">
        <f t="shared" si="12"/>
        <v>99.18367346938774</v>
      </c>
      <c r="L39" s="8">
        <f t="shared" si="12"/>
        <v>166.73410404624278</v>
      </c>
      <c r="M39" s="8">
        <f t="shared" si="12"/>
        <v>107.6074406670943</v>
      </c>
      <c r="N39" s="8">
        <f t="shared" si="12"/>
        <v>61.38728323699422</v>
      </c>
    </row>
    <row r="40" spans="1:14" ht="14.25">
      <c r="A40" s="5" t="s">
        <v>32</v>
      </c>
      <c r="C40" s="8">
        <f>(C19/C37)*360</f>
        <v>90</v>
      </c>
      <c r="D40" s="8">
        <f aca="true" t="shared" si="13" ref="D40:N40">(D19/D37)*360</f>
        <v>783.7008403361344</v>
      </c>
      <c r="E40" s="8">
        <f t="shared" si="13"/>
        <v>509.45063045586807</v>
      </c>
      <c r="F40" s="8">
        <f t="shared" si="13"/>
        <v>358.0044409199048</v>
      </c>
      <c r="G40" s="8">
        <f t="shared" si="13"/>
        <v>289.8352464550979</v>
      </c>
      <c r="H40" s="8">
        <f t="shared" si="13"/>
        <v>239.2994708994709</v>
      </c>
      <c r="I40" s="8">
        <f t="shared" si="13"/>
        <v>233.55814479638008</v>
      </c>
      <c r="J40" s="8">
        <f t="shared" si="13"/>
        <v>223.65450500556173</v>
      </c>
      <c r="K40" s="8">
        <f t="shared" si="13"/>
        <v>118.96813186813186</v>
      </c>
      <c r="L40" s="8">
        <f t="shared" si="13"/>
        <v>113.84869942196532</v>
      </c>
      <c r="M40" s="8">
        <f t="shared" si="13"/>
        <v>89.90878768441308</v>
      </c>
      <c r="N40" s="8">
        <f t="shared" si="13"/>
        <v>71.79710982658959</v>
      </c>
    </row>
  </sheetData>
  <sheetProtection/>
  <mergeCells count="3">
    <mergeCell ref="A3:A10"/>
    <mergeCell ref="A12:A17"/>
    <mergeCell ref="A37:B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zoomScalePageLayoutView="0" workbookViewId="0" topLeftCell="A1">
      <selection activeCell="F49" sqref="F49"/>
    </sheetView>
  </sheetViews>
  <sheetFormatPr defaultColWidth="11.421875" defaultRowHeight="15"/>
  <cols>
    <col min="1" max="1" width="80.8515625" style="15" customWidth="1"/>
    <col min="2" max="2" width="21.00390625" style="15" customWidth="1"/>
    <col min="3" max="3" width="21.8515625" style="15" customWidth="1"/>
    <col min="4" max="4" width="27.140625" style="15" customWidth="1"/>
    <col min="5" max="5" width="20.28125" style="15" customWidth="1"/>
    <col min="6" max="16384" width="11.421875" style="15" customWidth="1"/>
  </cols>
  <sheetData>
    <row r="1" spans="1:3" ht="17.25">
      <c r="A1" s="45" t="s">
        <v>33</v>
      </c>
      <c r="B1" s="45"/>
      <c r="C1" s="45"/>
    </row>
    <row r="2" spans="1:3" ht="15">
      <c r="A2" s="46"/>
      <c r="B2" s="47"/>
      <c r="C2" s="48"/>
    </row>
    <row r="3" spans="1:3" ht="15">
      <c r="A3" s="49"/>
      <c r="B3" s="50"/>
      <c r="C3" s="51"/>
    </row>
    <row r="4" spans="1:3" ht="15">
      <c r="A4" s="49"/>
      <c r="B4" s="50"/>
      <c r="C4" s="51"/>
    </row>
    <row r="5" spans="1:3" ht="15">
      <c r="A5" s="49"/>
      <c r="B5" s="50"/>
      <c r="C5" s="51"/>
    </row>
    <row r="6" spans="1:3" ht="15">
      <c r="A6" s="52"/>
      <c r="B6" s="53"/>
      <c r="C6" s="54"/>
    </row>
    <row r="7" spans="1:3" ht="15">
      <c r="A7" s="16"/>
      <c r="B7" s="16"/>
      <c r="C7" s="16"/>
    </row>
    <row r="8" spans="1:3" ht="15">
      <c r="A8" s="17" t="s">
        <v>34</v>
      </c>
      <c r="B8" s="18">
        <v>100000</v>
      </c>
      <c r="C8" s="18">
        <v>100000</v>
      </c>
    </row>
    <row r="9" spans="1:3" ht="15">
      <c r="A9" s="16" t="s">
        <v>35</v>
      </c>
      <c r="B9" s="16"/>
      <c r="C9" s="16"/>
    </row>
    <row r="10" spans="1:3" ht="15">
      <c r="A10" s="16" t="s">
        <v>36</v>
      </c>
      <c r="B10" s="16" t="s">
        <v>37</v>
      </c>
      <c r="C10" s="16" t="s">
        <v>38</v>
      </c>
    </row>
    <row r="11" spans="1:3" ht="15">
      <c r="A11" s="16"/>
      <c r="B11" s="16"/>
      <c r="C11" s="16"/>
    </row>
    <row r="12" spans="1:3" ht="15">
      <c r="A12" s="19" t="s">
        <v>39</v>
      </c>
      <c r="B12" s="19" t="s">
        <v>40</v>
      </c>
      <c r="C12" s="19" t="s">
        <v>41</v>
      </c>
    </row>
    <row r="13" spans="1:4" ht="15">
      <c r="A13" s="16" t="s">
        <v>42</v>
      </c>
      <c r="B13" s="18">
        <f>B8*0.13</f>
        <v>13000</v>
      </c>
      <c r="C13" s="18">
        <v>13000</v>
      </c>
      <c r="D13" s="20"/>
    </row>
    <row r="14" spans="1:3" ht="15">
      <c r="A14" s="16" t="s">
        <v>43</v>
      </c>
      <c r="B14" s="18">
        <f>B8*0.13</f>
        <v>13000</v>
      </c>
      <c r="C14" s="18">
        <v>13000</v>
      </c>
    </row>
    <row r="15" spans="1:3" ht="15">
      <c r="A15" s="16" t="s">
        <v>44</v>
      </c>
      <c r="B15" s="18">
        <f>B8*0.09</f>
        <v>9000</v>
      </c>
      <c r="C15" s="18">
        <v>13000</v>
      </c>
    </row>
    <row r="16" spans="1:3" ht="15">
      <c r="A16" s="16" t="s">
        <v>45</v>
      </c>
      <c r="B16" s="18">
        <f>B8*0.08</f>
        <v>8000</v>
      </c>
      <c r="C16" s="18">
        <v>0</v>
      </c>
    </row>
    <row r="17" spans="1:3" ht="15">
      <c r="A17" s="16" t="s">
        <v>46</v>
      </c>
      <c r="B17" s="18">
        <f>B8*0.07</f>
        <v>7000.000000000001</v>
      </c>
      <c r="C17" s="18">
        <v>10000</v>
      </c>
    </row>
    <row r="18" spans="1:3" ht="15">
      <c r="A18" s="16" t="s">
        <v>47</v>
      </c>
      <c r="B18" s="18">
        <f>B8*0.07</f>
        <v>7000.000000000001</v>
      </c>
      <c r="C18" s="18">
        <v>7000</v>
      </c>
    </row>
    <row r="19" spans="1:5" ht="15">
      <c r="A19" s="16" t="s">
        <v>48</v>
      </c>
      <c r="B19" s="18">
        <f>B8*0.04</f>
        <v>4000</v>
      </c>
      <c r="C19" s="18">
        <v>10000</v>
      </c>
      <c r="D19" s="20"/>
      <c r="E19" s="20"/>
    </row>
    <row r="20" spans="1:3" ht="15">
      <c r="A20" s="16" t="s">
        <v>49</v>
      </c>
      <c r="B20" s="18">
        <f>B8*0.03</f>
        <v>3000</v>
      </c>
      <c r="C20" s="18">
        <v>0</v>
      </c>
    </row>
    <row r="21" spans="1:3" ht="15">
      <c r="A21" s="16" t="s">
        <v>50</v>
      </c>
      <c r="B21" s="18">
        <f>B8*0.05</f>
        <v>5000</v>
      </c>
      <c r="C21" s="18">
        <v>4000</v>
      </c>
    </row>
    <row r="22" spans="1:3" ht="15">
      <c r="A22" s="16" t="s">
        <v>51</v>
      </c>
      <c r="B22" s="18">
        <f>B8*0.07</f>
        <v>7000.000000000001</v>
      </c>
      <c r="C22" s="18">
        <v>10000</v>
      </c>
    </row>
    <row r="23" spans="1:3" ht="15">
      <c r="A23" s="16" t="s">
        <v>52</v>
      </c>
      <c r="B23" s="18">
        <f>B8*0.1</f>
        <v>10000</v>
      </c>
      <c r="C23" s="18">
        <v>4000</v>
      </c>
    </row>
    <row r="24" spans="1:3" ht="15">
      <c r="A24" s="16" t="s">
        <v>53</v>
      </c>
      <c r="B24" s="18">
        <f>B8*0.14</f>
        <v>14000.000000000002</v>
      </c>
      <c r="C24" s="18">
        <v>16000</v>
      </c>
    </row>
    <row r="25" spans="1:4" ht="15">
      <c r="A25" s="16"/>
      <c r="B25" s="18">
        <f>SUM(B13:B24)</f>
        <v>100000</v>
      </c>
      <c r="C25" s="18">
        <f>SUM(C13:C24)</f>
        <v>100000</v>
      </c>
      <c r="D25" s="20"/>
    </row>
    <row r="26" spans="1:3" ht="15">
      <c r="A26" s="16"/>
      <c r="B26" s="18"/>
      <c r="C26" s="18"/>
    </row>
    <row r="27" spans="1:3" ht="15">
      <c r="A27" s="17" t="s">
        <v>54</v>
      </c>
      <c r="B27" s="21"/>
      <c r="C27" s="21"/>
    </row>
    <row r="28" spans="1:4" ht="15">
      <c r="A28" s="16" t="s">
        <v>55</v>
      </c>
      <c r="B28" s="16"/>
      <c r="C28" s="16"/>
      <c r="D28" s="34" t="s">
        <v>109</v>
      </c>
    </row>
    <row r="29" spans="1:9" ht="15">
      <c r="A29" s="16" t="s">
        <v>56</v>
      </c>
      <c r="B29" s="16" t="s">
        <v>37</v>
      </c>
      <c r="C29" s="16" t="s">
        <v>57</v>
      </c>
      <c r="D29" s="35">
        <v>70000</v>
      </c>
      <c r="I29" s="15">
        <f>B49/3</f>
        <v>7389</v>
      </c>
    </row>
    <row r="30" spans="1:4" ht="15">
      <c r="A30" s="16" t="s">
        <v>58</v>
      </c>
      <c r="B30" s="16" t="s">
        <v>59</v>
      </c>
      <c r="C30" s="16" t="s">
        <v>60</v>
      </c>
      <c r="D30" s="35">
        <v>50000</v>
      </c>
    </row>
    <row r="31" spans="1:4" ht="15">
      <c r="A31" s="16" t="s">
        <v>61</v>
      </c>
      <c r="B31" s="16" t="s">
        <v>62</v>
      </c>
      <c r="C31" s="16" t="s">
        <v>63</v>
      </c>
      <c r="D31" s="35">
        <v>80000</v>
      </c>
    </row>
    <row r="32" spans="1:3" ht="15">
      <c r="A32" s="16"/>
      <c r="B32" s="16"/>
      <c r="C32" s="16"/>
    </row>
    <row r="33" spans="1:3" ht="15">
      <c r="A33" s="19" t="s">
        <v>64</v>
      </c>
      <c r="B33" s="19" t="s">
        <v>40</v>
      </c>
      <c r="C33" s="19" t="s">
        <v>41</v>
      </c>
    </row>
    <row r="34" spans="1:4" ht="15">
      <c r="A34" s="16" t="s">
        <v>65</v>
      </c>
      <c r="B34" s="18">
        <v>22700</v>
      </c>
      <c r="C34" s="18">
        <v>10000</v>
      </c>
      <c r="D34" s="20"/>
    </row>
    <row r="35" spans="1:3" ht="15">
      <c r="A35" s="16" t="s">
        <v>66</v>
      </c>
      <c r="B35" s="18">
        <v>22700</v>
      </c>
      <c r="C35" s="18">
        <v>20000</v>
      </c>
    </row>
    <row r="36" spans="1:6" ht="15">
      <c r="A36" s="16" t="s">
        <v>67</v>
      </c>
      <c r="B36" s="18">
        <v>22700</v>
      </c>
      <c r="C36" s="18">
        <v>13000</v>
      </c>
      <c r="D36" s="20"/>
      <c r="E36" s="20"/>
      <c r="F36" s="20"/>
    </row>
    <row r="37" spans="1:4" ht="15">
      <c r="A37" s="16" t="s">
        <v>68</v>
      </c>
      <c r="B37" s="18">
        <v>15000</v>
      </c>
      <c r="C37" s="18">
        <f>25100+7700</f>
        <v>32800</v>
      </c>
      <c r="D37" s="20"/>
    </row>
    <row r="38" spans="1:4" ht="15">
      <c r="A38" s="16" t="s">
        <v>69</v>
      </c>
      <c r="B38" s="18">
        <v>15000</v>
      </c>
      <c r="C38" s="18">
        <v>10000</v>
      </c>
      <c r="D38" s="20"/>
    </row>
    <row r="39" spans="1:3" ht="15">
      <c r="A39" s="16" t="s">
        <v>70</v>
      </c>
      <c r="B39" s="18">
        <v>15000</v>
      </c>
      <c r="C39" s="18">
        <v>10000</v>
      </c>
    </row>
    <row r="40" spans="1:5" ht="15">
      <c r="A40" s="16" t="s">
        <v>71</v>
      </c>
      <c r="B40" s="18">
        <f>2700</f>
        <v>2700</v>
      </c>
      <c r="C40" s="18">
        <v>10000</v>
      </c>
      <c r="D40" s="20"/>
      <c r="E40" s="20"/>
    </row>
    <row r="41" spans="1:3" ht="15">
      <c r="A41" s="16" t="s">
        <v>72</v>
      </c>
      <c r="B41" s="18"/>
      <c r="C41" s="18"/>
    </row>
    <row r="42" spans="1:3" ht="15">
      <c r="A42" s="16" t="s">
        <v>73</v>
      </c>
      <c r="B42" s="18">
        <v>20000</v>
      </c>
      <c r="C42" s="18">
        <f>10000+10000</f>
        <v>20000</v>
      </c>
    </row>
    <row r="43" spans="1:3" ht="15">
      <c r="A43" s="16" t="s">
        <v>74</v>
      </c>
      <c r="B43" s="18">
        <v>15000</v>
      </c>
      <c r="C43" s="18">
        <v>20000</v>
      </c>
    </row>
    <row r="44" spans="1:3" ht="15">
      <c r="A44" s="16" t="s">
        <v>75</v>
      </c>
      <c r="B44" s="18">
        <v>25000</v>
      </c>
      <c r="C44" s="18">
        <v>30000</v>
      </c>
    </row>
    <row r="45" spans="1:6" ht="15">
      <c r="A45" s="16" t="s">
        <v>76</v>
      </c>
      <c r="B45" s="18">
        <v>20200</v>
      </c>
      <c r="C45" s="18">
        <v>20200</v>
      </c>
      <c r="F45" s="20"/>
    </row>
    <row r="46" spans="1:4" ht="15">
      <c r="A46" s="16" t="s">
        <v>77</v>
      </c>
      <c r="B46" s="18">
        <f>SUM(B34:B45)</f>
        <v>196000</v>
      </c>
      <c r="C46" s="18">
        <f>SUM(C34:C45)</f>
        <v>196000</v>
      </c>
      <c r="D46" s="20"/>
    </row>
    <row r="47" spans="1:3" ht="15">
      <c r="A47" s="16"/>
      <c r="B47" s="18">
        <f>B46+B25</f>
        <v>296000</v>
      </c>
      <c r="C47" s="18"/>
    </row>
    <row r="48" spans="1:3" ht="15">
      <c r="A48" s="22" t="s">
        <v>78</v>
      </c>
      <c r="B48" s="23">
        <f>SUM(B49:B60)</f>
        <v>190005</v>
      </c>
      <c r="C48" s="23">
        <f>SUM(C49:C60)</f>
        <v>182501</v>
      </c>
    </row>
    <row r="49" spans="1:3" ht="15">
      <c r="A49" s="16" t="s">
        <v>79</v>
      </c>
      <c r="B49" s="18">
        <f>ROUNDUP(((70000*0.95)/3),0)</f>
        <v>22167</v>
      </c>
      <c r="C49" s="18">
        <v>0</v>
      </c>
    </row>
    <row r="50" spans="1:3" ht="15">
      <c r="A50" s="16" t="s">
        <v>80</v>
      </c>
      <c r="B50" s="18">
        <f>ROUNDUP(((70000*0.95)/3),0)</f>
        <v>22167</v>
      </c>
      <c r="C50" s="18">
        <v>0</v>
      </c>
    </row>
    <row r="51" spans="1:3" ht="15">
      <c r="A51" s="16" t="s">
        <v>81</v>
      </c>
      <c r="B51" s="18">
        <f>ROUNDUP(((70000*0.95)/3),0)</f>
        <v>22167</v>
      </c>
      <c r="C51" s="18">
        <f>70000*0.7</f>
        <v>49000</v>
      </c>
    </row>
    <row r="52" spans="1:3" ht="15">
      <c r="A52" s="16" t="s">
        <v>82</v>
      </c>
      <c r="B52" s="18">
        <v>0</v>
      </c>
      <c r="C52" s="18">
        <f>10000</f>
        <v>10000</v>
      </c>
    </row>
    <row r="53" spans="1:3" ht="15">
      <c r="A53" s="16" t="s">
        <v>83</v>
      </c>
      <c r="B53" s="18">
        <f>ROUNDUP(((50000*0.95)/3),0)</f>
        <v>15834</v>
      </c>
      <c r="C53" s="18">
        <f>7501</f>
        <v>7501</v>
      </c>
    </row>
    <row r="54" spans="1:3" ht="15">
      <c r="A54" s="16" t="s">
        <v>84</v>
      </c>
      <c r="B54" s="18">
        <f>ROUNDUP(((50000*0.95)/3),0)</f>
        <v>15834</v>
      </c>
      <c r="C54" s="18">
        <v>0</v>
      </c>
    </row>
    <row r="55" spans="1:3" ht="15">
      <c r="A55" s="16" t="s">
        <v>85</v>
      </c>
      <c r="B55" s="18">
        <f>ROUNDUP(((50000*0.95)/3),0)</f>
        <v>15834</v>
      </c>
      <c r="C55" s="18">
        <f>50000*0.7</f>
        <v>35000</v>
      </c>
    </row>
    <row r="56" spans="1:3" ht="15">
      <c r="A56" s="16" t="s">
        <v>86</v>
      </c>
      <c r="B56" s="18">
        <v>0</v>
      </c>
      <c r="C56" s="18">
        <f>10000</f>
        <v>10000</v>
      </c>
    </row>
    <row r="57" spans="1:3" ht="15">
      <c r="A57" s="16" t="s">
        <v>87</v>
      </c>
      <c r="B57" s="18">
        <v>0</v>
      </c>
      <c r="C57" s="18">
        <v>5000</v>
      </c>
    </row>
    <row r="58" spans="1:3" ht="15">
      <c r="A58" s="16" t="s">
        <v>88</v>
      </c>
      <c r="B58" s="18">
        <f>ROUNDUP(((80000*0.95)/3),0)</f>
        <v>25334</v>
      </c>
      <c r="C58" s="18">
        <v>0</v>
      </c>
    </row>
    <row r="59" spans="1:3" ht="15">
      <c r="A59" s="16" t="s">
        <v>89</v>
      </c>
      <c r="B59" s="18">
        <f>ROUNDUP(((80000*0.95)/3),0)</f>
        <v>25334</v>
      </c>
      <c r="C59" s="18">
        <f>80000*0.7</f>
        <v>56000</v>
      </c>
    </row>
    <row r="60" spans="1:4" ht="15">
      <c r="A60" s="16" t="s">
        <v>90</v>
      </c>
      <c r="B60" s="18">
        <f>ROUNDUP(((80000*0.95)/3),0)</f>
        <v>25334</v>
      </c>
      <c r="C60" s="18">
        <f>10000</f>
        <v>10000</v>
      </c>
      <c r="D60" s="20"/>
    </row>
    <row r="61" spans="1:3" ht="15">
      <c r="A61" s="24" t="s">
        <v>91</v>
      </c>
      <c r="B61" s="25">
        <v>50000</v>
      </c>
      <c r="C61" s="25">
        <v>50000</v>
      </c>
    </row>
    <row r="62" spans="1:3" ht="15">
      <c r="A62" s="16" t="s">
        <v>92</v>
      </c>
      <c r="B62" s="16"/>
      <c r="C62" s="16"/>
    </row>
    <row r="63" spans="1:4" ht="15">
      <c r="A63" s="16"/>
      <c r="B63" s="16"/>
      <c r="C63" s="16"/>
      <c r="D63" s="36" t="s">
        <v>110</v>
      </c>
    </row>
    <row r="64" spans="1:4" ht="15">
      <c r="A64" s="18" t="s">
        <v>93</v>
      </c>
      <c r="B64" s="16" t="s">
        <v>94</v>
      </c>
      <c r="C64" s="16"/>
      <c r="D64" s="26">
        <v>12500</v>
      </c>
    </row>
    <row r="65" spans="1:4" ht="15">
      <c r="A65" s="18" t="s">
        <v>93</v>
      </c>
      <c r="B65" s="16" t="s">
        <v>95</v>
      </c>
      <c r="C65" s="16"/>
      <c r="D65" s="26">
        <v>12500</v>
      </c>
    </row>
    <row r="66" spans="1:4" ht="15">
      <c r="A66" s="18" t="s">
        <v>96</v>
      </c>
      <c r="B66" s="16" t="s">
        <v>97</v>
      </c>
      <c r="C66" s="16" t="s">
        <v>97</v>
      </c>
      <c r="D66" s="26">
        <v>12500</v>
      </c>
    </row>
    <row r="67" spans="1:4" ht="15">
      <c r="A67" s="26" t="s">
        <v>96</v>
      </c>
      <c r="B67" s="16" t="s">
        <v>98</v>
      </c>
      <c r="C67" s="16" t="s">
        <v>98</v>
      </c>
      <c r="D67" s="26">
        <v>12500</v>
      </c>
    </row>
    <row r="68" spans="1:4" ht="15">
      <c r="A68" s="27" t="s">
        <v>99</v>
      </c>
      <c r="B68" s="16"/>
      <c r="C68" s="16" t="s">
        <v>100</v>
      </c>
      <c r="D68" s="26">
        <f>SUM(D64:D67)</f>
        <v>50000</v>
      </c>
    </row>
    <row r="69" spans="1:4" ht="15">
      <c r="A69" s="28" t="s">
        <v>101</v>
      </c>
      <c r="B69" s="16"/>
      <c r="C69" s="16" t="s">
        <v>63</v>
      </c>
      <c r="D69" s="26"/>
    </row>
    <row r="70" spans="1:3" ht="15">
      <c r="A70" s="19" t="s">
        <v>102</v>
      </c>
      <c r="B70" s="29"/>
      <c r="C70" s="29"/>
    </row>
    <row r="71" spans="1:3" ht="15">
      <c r="A71" s="16" t="s">
        <v>103</v>
      </c>
      <c r="B71" s="18">
        <f>50000*0.1</f>
        <v>5000</v>
      </c>
      <c r="C71" s="18">
        <f>50000*0.1</f>
        <v>5000</v>
      </c>
    </row>
    <row r="72" spans="1:3" ht="15">
      <c r="A72" s="16" t="s">
        <v>104</v>
      </c>
      <c r="B72" s="18">
        <f>50000*0.2</f>
        <v>10000</v>
      </c>
      <c r="C72" s="18">
        <f>50000*0.2</f>
        <v>10000</v>
      </c>
    </row>
    <row r="73" spans="1:3" ht="15">
      <c r="A73" s="16" t="s">
        <v>105</v>
      </c>
      <c r="B73" s="18">
        <f>50000*0.4</f>
        <v>20000</v>
      </c>
      <c r="C73" s="18">
        <f>50000*0.4</f>
        <v>20000</v>
      </c>
    </row>
    <row r="74" spans="1:3" ht="15">
      <c r="A74" s="16" t="s">
        <v>106</v>
      </c>
      <c r="B74" s="18">
        <f>50000*0.3</f>
        <v>15000</v>
      </c>
      <c r="C74" s="18">
        <f>50000*0.3</f>
        <v>15000</v>
      </c>
    </row>
  </sheetData>
  <sheetProtection/>
  <mergeCells count="2">
    <mergeCell ref="A1:C1"/>
    <mergeCell ref="A2:C6"/>
  </mergeCells>
  <printOptions horizontalCentered="1" verticalCentered="1"/>
  <pageMargins left="0.38" right="0.21" top="0.19" bottom="0.45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 des indicateurs mois par mois LYCEE AV0 02-10-2014</dc:title>
  <dc:subject/>
  <dc:creator>Fabrice Cormary</dc:creator>
  <cp:keywords/>
  <dc:description/>
  <cp:lastModifiedBy>Bernard</cp:lastModifiedBy>
  <cp:lastPrinted>2013-06-05T16:18:08Z</cp:lastPrinted>
  <dcterms:created xsi:type="dcterms:W3CDTF">2013-06-05T09:38:13Z</dcterms:created>
  <dcterms:modified xsi:type="dcterms:W3CDTF">2020-06-17T17:26:44Z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ge">
    <vt:lpwstr>réglementation</vt:lpwstr>
  </property>
  <property fmtid="{D5CDD505-2E9C-101B-9397-08002B2CF9AE}" pid="3" name="Cible">
    <vt:lpwstr>;#Gestion budgétaire;#Agent comptable;#</vt:lpwstr>
  </property>
  <property fmtid="{D5CDD505-2E9C-101B-9397-08002B2CF9AE}" pid="4" name="Public">
    <vt:lpwstr/>
  </property>
  <property fmtid="{D5CDD505-2E9C-101B-9397-08002B2CF9AE}" pid="5" name="Emplacement">
    <vt:lpwstr>Séminaire CBCE 2014</vt:lpwstr>
  </property>
  <property fmtid="{D5CDD505-2E9C-101B-9397-08002B2CF9AE}" pid="6" name="Date">
    <vt:lpwstr>2014-02-12T00:00:00Z</vt:lpwstr>
  </property>
  <property fmtid="{D5CDD505-2E9C-101B-9397-08002B2CF9AE}" pid="7" name="Ordre">
    <vt:lpwstr/>
  </property>
  <property fmtid="{D5CDD505-2E9C-101B-9397-08002B2CF9AE}" pid="8" name="IconOverlay">
    <vt:lpwstr/>
  </property>
</Properties>
</file>